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13_ncr:1_{0C344B87-55F9-4292-89E4-A1B332ADE41F}" xr6:coauthVersionLast="46" xr6:coauthVersionMax="46" xr10:uidLastSave="{00000000-0000-0000-0000-000000000000}"/>
  <bookViews>
    <workbookView xWindow="150" yWindow="570" windowWidth="10335" windowHeight="10485" xr2:uid="{00000000-000D-0000-FFFF-FFFF00000000}"/>
  </bookViews>
  <sheets>
    <sheet name="Лист2" sheetId="2" r:id="rId1"/>
  </sheets>
  <definedNames>
    <definedName name="_xlnm._FilterDatabase" localSheetId="0" hidden="1">Лист2!$A$4:$F$63</definedName>
  </definedNames>
  <calcPr calcId="181029"/>
  <fileRecoveryPr autoRecover="0"/>
</workbook>
</file>

<file path=xl/calcChain.xml><?xml version="1.0" encoding="utf-8"?>
<calcChain xmlns="http://schemas.openxmlformats.org/spreadsheetml/2006/main">
  <c r="D63" i="2" l="1"/>
  <c r="D62" i="2"/>
  <c r="D59" i="2"/>
  <c r="D58" i="2" s="1"/>
  <c r="D57" i="2"/>
  <c r="D56" i="2" s="1"/>
  <c r="D55" i="2"/>
  <c r="D53" i="2"/>
  <c r="E53" i="2" s="1"/>
  <c r="D49" i="2"/>
  <c r="E49" i="2" s="1"/>
  <c r="D47" i="2"/>
  <c r="D46" i="2"/>
  <c r="D44" i="2"/>
  <c r="E44" i="2" s="1"/>
  <c r="D35" i="2"/>
  <c r="D33" i="2"/>
  <c r="D29" i="2"/>
  <c r="D28" i="2"/>
  <c r="E28" i="2" s="1"/>
  <c r="D27" i="2"/>
  <c r="E27" i="2" s="1"/>
  <c r="D26" i="2"/>
  <c r="E26" i="2" s="1"/>
  <c r="D25" i="2"/>
  <c r="D24" i="2"/>
  <c r="E24" i="2" s="1"/>
  <c r="D23" i="2"/>
  <c r="E23" i="2" s="1"/>
  <c r="D22" i="2"/>
  <c r="D21" i="2"/>
  <c r="D20" i="2"/>
  <c r="E20" i="2" s="1"/>
  <c r="D18" i="2"/>
  <c r="E18" i="2" s="1"/>
  <c r="D17" i="2"/>
  <c r="D16" i="2"/>
  <c r="D15" i="2"/>
  <c r="D14" i="2"/>
  <c r="E14" i="2" s="1"/>
  <c r="D12" i="2"/>
  <c r="D13" i="2"/>
  <c r="D11" i="2"/>
  <c r="D10" i="2"/>
  <c r="D9" i="2"/>
  <c r="D8" i="2"/>
  <c r="D7" i="2"/>
  <c r="E7" i="2" s="1"/>
  <c r="C63" i="2"/>
  <c r="C62" i="2"/>
  <c r="C61" i="2"/>
  <c r="C57" i="2"/>
  <c r="C56" i="2" s="1"/>
  <c r="C55" i="2"/>
  <c r="E55" i="2" s="1"/>
  <c r="C54" i="2"/>
  <c r="C53" i="2"/>
  <c r="C52" i="2"/>
  <c r="C51" i="2"/>
  <c r="C50" i="2"/>
  <c r="C49" i="2"/>
  <c r="C48" i="2"/>
  <c r="C47" i="2"/>
  <c r="E47" i="2" s="1"/>
  <c r="C46" i="2"/>
  <c r="C44" i="2"/>
  <c r="C43" i="2"/>
  <c r="C42" i="2"/>
  <c r="C41" i="2"/>
  <c r="C40" i="2"/>
  <c r="C39" i="2"/>
  <c r="C38" i="2"/>
  <c r="C37" i="2"/>
  <c r="C36" i="2"/>
  <c r="C35" i="2"/>
  <c r="C34" i="2" s="1"/>
  <c r="C33" i="2"/>
  <c r="C32" i="2" s="1"/>
  <c r="C28" i="2"/>
  <c r="C27" i="2"/>
  <c r="C26" i="2"/>
  <c r="C25" i="2"/>
  <c r="E25" i="2" s="1"/>
  <c r="C24" i="2"/>
  <c r="C23" i="2"/>
  <c r="C22" i="2"/>
  <c r="E22" i="2" s="1"/>
  <c r="C20" i="2"/>
  <c r="C19" i="2"/>
  <c r="C18" i="2"/>
  <c r="C17" i="2"/>
  <c r="C16" i="2"/>
  <c r="E16" i="2" s="1"/>
  <c r="C15" i="2"/>
  <c r="C14" i="2"/>
  <c r="C13" i="2"/>
  <c r="C12" i="2"/>
  <c r="C11" i="2"/>
  <c r="C10" i="2"/>
  <c r="C9" i="2"/>
  <c r="C8" i="2"/>
  <c r="C7" i="2"/>
  <c r="E46" i="2"/>
  <c r="E61" i="2"/>
  <c r="C58" i="2"/>
  <c r="E62" i="2" l="1"/>
  <c r="E35" i="2"/>
  <c r="D34" i="2"/>
  <c r="E33" i="2"/>
  <c r="E57" i="2"/>
  <c r="D60" i="2"/>
  <c r="E63" i="2"/>
  <c r="D45" i="2"/>
  <c r="D32" i="2"/>
  <c r="E32" i="2" s="1"/>
  <c r="E17" i="2"/>
  <c r="E15" i="2"/>
  <c r="E13" i="2"/>
  <c r="E12" i="2"/>
  <c r="E11" i="2"/>
  <c r="E10" i="2"/>
  <c r="D6" i="2"/>
  <c r="E9" i="2"/>
  <c r="E8" i="2"/>
  <c r="C60" i="2"/>
  <c r="E56" i="2"/>
  <c r="C45" i="2"/>
  <c r="E34" i="2"/>
  <c r="C6" i="2"/>
  <c r="D31" i="2" l="1"/>
  <c r="D30" i="2" s="1"/>
  <c r="D5" i="2" s="1"/>
  <c r="E45" i="2"/>
  <c r="C31" i="2"/>
  <c r="C30" i="2" s="1"/>
  <c r="C5" i="2" s="1"/>
  <c r="E60" i="2"/>
  <c r="E6" i="2"/>
  <c r="E31" i="2" l="1"/>
  <c r="E30" i="2"/>
  <c r="E5" i="2"/>
</calcChain>
</file>

<file path=xl/sharedStrings.xml><?xml version="1.0" encoding="utf-8"?>
<sst xmlns="http://schemas.openxmlformats.org/spreadsheetml/2006/main" count="143" uniqueCount="128">
  <si>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</si>
  <si>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</si>
  <si>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</si>
  <si>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</si>
  <si>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</si>
  <si>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Наименование показателя</t>
  </si>
  <si>
    <t>Код дохода по бюджетной классификации</t>
  </si>
  <si>
    <t>Доходы бюджета - Всего</t>
  </si>
  <si>
    <t>Х</t>
  </si>
  <si>
    <t>-</t>
  </si>
  <si>
    <t>000 1 00 00000 00 0000 000</t>
  </si>
  <si>
    <t>Налог на доходы физических лиц</t>
  </si>
  <si>
    <t>000 1 01 02000 01 0000 110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</si>
  <si>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</si>
  <si>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</si>
  <si>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Налог, взимаемый в связи с применением упрощенной системы налогообложения</t>
  </si>
  <si>
    <t>000 1 05 01000 00 0000 110</t>
  </si>
  <si>
    <t>Единый налог на вмененный доход для отдельных видов деятельности</t>
  </si>
  <si>
    <t>000 1 05 02000 02 0000 110</t>
  </si>
  <si>
    <t>Единый сельскохозяйственный налог</t>
  </si>
  <si>
    <t>000 1 05 03000 01 0000 110</t>
  </si>
  <si>
    <t>Налог, взимаемый в связи с применением патентной системы налогообложения</t>
  </si>
  <si>
    <t>000 1 05 04000 02 0000 110</t>
  </si>
  <si>
    <t>Налог на имущество физических лиц</t>
  </si>
  <si>
    <t>000 1 06 01000 00 0000 110</t>
  </si>
  <si>
    <t xml:space="preserve">Земельный налог с организаций </t>
  </si>
  <si>
    <t>000 1 06 06030 00 0000 110</t>
  </si>
  <si>
    <t>Земельный налог с физических лиц</t>
  </si>
  <si>
    <t>000 1 06 06040 00 0000 110</t>
  </si>
  <si>
    <t>000 1 08 00000 00 0000 000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</si>
  <si>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</si>
  <si>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</si>
  <si>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000 1 11 05020 00 0000 120</t>
  </si>
  <si>
    <t>000 1 11 05030 00 0000 120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</si>
  <si>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</si>
  <si>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</si>
  <si>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</si>
  <si>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</si>
  <si>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</si>
  <si>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000 1 11 09044 14 0000 120</t>
  </si>
  <si>
    <t>000 1 12 00000 00 0000 000</t>
  </si>
  <si>
    <t>Прочие доходы от компенсации затрат бюджетов муниципальных округов</t>
  </si>
  <si>
    <t>000 1 13 02994 14 0000 130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</si>
  <si>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</si>
  <si>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000 1 14 06012 14 0000 430</t>
  </si>
  <si>
    <t>000 1 14 06312 14 0000 430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</si>
  <si>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</si>
  <si>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000 1 14 13040 14 0000 410</t>
  </si>
  <si>
    <t>000 1 16 00000 00 0000 000</t>
  </si>
  <si>
    <t>000 1 17 00000 00 0000 000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</si>
  <si>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</si>
  <si>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</si>
  <si>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</si>
  <si>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</si>
  <si>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</si>
  <si>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</si>
  <si>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</si>
  <si>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</si>
  <si>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</si>
  <si>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</si>
  <si>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</si>
  <si>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000 2 02 20077 14 0000 150</t>
  </si>
  <si>
    <t>000 2 02 20216 14 0000 150</t>
  </si>
  <si>
    <t>000 2 02 20299 14 0000 150</t>
  </si>
  <si>
    <t>Субсидии бюджетам муниципальных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</si>
  <si>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</si>
  <si>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</si>
  <si>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</si>
  <si>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</si>
  <si>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000 2 02 25467 14 0000 150</t>
  </si>
  <si>
    <t>Субсидии бюджетам муниципальных округов на реализацию мероприятий по обеспечению жильем молодых семей</t>
  </si>
  <si>
    <t>000 2 02 25497 14 0000 150</t>
  </si>
  <si>
    <t>Субсидии бюджетам муниципальных округов на поддержку отрасли культуры</t>
  </si>
  <si>
    <t>000 2 02 25519 14 0000 150</t>
  </si>
  <si>
    <t>Субсидии бюджетам муниципальных округов на реализацию программ формирования современной городской среды</t>
  </si>
  <si>
    <t>000 2 02 25555 14 0000 150</t>
  </si>
  <si>
    <t>Прочие субсидии бюджетам муниципальных округов</t>
  </si>
  <si>
    <t>000 2 02 29999 14 0000 150</t>
  </si>
  <si>
    <t>Субвенции бюджетам бюджетной системы Российской Федерации</t>
  </si>
  <si>
    <t>000 2 02 30000 00 0000 150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</si>
  <si>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</si>
  <si>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</si>
  <si>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</si>
  <si>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</si>
  <si>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</si>
  <si>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</si>
  <si>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</si>
  <si>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000 2 02 35118 14 0000 150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</si>
  <si>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</si>
  <si>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000 2 02 35120 14 0000 150</t>
  </si>
  <si>
    <t>000 2 02 35135 14 0000 150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</si>
  <si>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№ 181-ФЗ "О социальной защите инвалидов в Российской Федерации"</t>
  </si>
  <si>
    <t>000 2 02 35176 14 0000 150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</si>
  <si>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</si>
  <si>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000 2 02 35303 14 0000 150</t>
  </si>
  <si>
    <t>Субвенции бюджетам муниципальных округов на стимулирование развития приоритетных подотраслей агропромышленного комплекса и развитие малых форм хозяйствования</t>
  </si>
  <si>
    <t>000 2 02 35502 14 0000 150</t>
  </si>
  <si>
    <t>Субвенции бюджетам муниципальных округов на поддержку сельскохозяйственного производства по отдельным подотраслям растениеводства и животноводства</t>
  </si>
  <si>
    <t>000 2 02 35508 14 0000 150</t>
  </si>
  <si>
    <t>000 2 02 40000 00 0000 150</t>
  </si>
  <si>
    <t>Межбюджетные трансферты, передаваемые бюджетам муниципальных округов для компенсации дополнительных расходов, возникших в результате решений, принятых органами власти другого уровня</t>
  </si>
  <si>
    <t>000 2 02 45160 14 0000 150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</si>
  <si>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</si>
  <si>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</si>
  <si>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округов</t>
  </si>
  <si>
    <t>000 2 07 04050 14 0000 150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</si>
  <si>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</si>
  <si>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</si>
  <si>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 на мероприятия государственной программы Российской Федерации "Доступная среда" из бюджетов муниципальных округов</t>
  </si>
  <si>
    <t>000 2 19 25027 14 0000 150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</si>
  <si>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округов</t>
  </si>
  <si>
    <t>000 2 19 45160 14 0000 150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</si>
  <si>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</si>
  <si>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000 2 19 60010 14 0000 150</t>
  </si>
  <si>
    <t>% исполнения</t>
  </si>
  <si>
    <t>Исполнение бюджета Балахнинского муниципального округа по доходам на 01.03.2021 г.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</si>
  <si>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12 января 1995 года № 5-ФЗ "О ветеранах"</t>
  </si>
  <si>
    <t>тыс.руб.</t>
  </si>
  <si>
    <t>План по бюджету на 2021 год</t>
  </si>
  <si>
    <t>Факт исполнения  на 01.03.2021 г.</t>
  </si>
  <si>
    <t>Начальник финансового управления</t>
  </si>
  <si>
    <t>Виноградова А. М.</t>
  </si>
  <si>
    <t xml:space="preserve">Платежи при пользовании природными ресурсами </t>
  </si>
  <si>
    <t xml:space="preserve">Штрафы, санкции, возмещение ущерба </t>
  </si>
  <si>
    <t>Прочие неналоговые доходы</t>
  </si>
  <si>
    <t>Государственная пошлина</t>
  </si>
  <si>
    <t xml:space="preserve">          в том числе: 
НАЛОГОВЫЕ И НЕНАЛОГОВЫЕ ДОХОДЫ:</t>
  </si>
  <si>
    <t>ИНЫЕ МЕЖБЮДЖЕТНЫЕ ТРАНСФЕРТЫ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</si>
</sst>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\ &quot;₽&quot;"/>
    <numFmt numFmtId="166" formatCode="[$-10419]#,##0.0"/>
  </numFmts>
  <fonts count="6" x14ac:knownFonts="1">
    <font>
      <sz val="10"/>
      <name val="Arial"/>
    </font>
    <font>
      <sz val="12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/>
      <bottom style="thin">
        <color indexed="9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Fill="1" applyBorder="1" applyAlignment="1" applyProtection="1">
      <alignment horizontal="left" wrapText="1" readingOrder="1"/>
      <protection locked="0"/>
    </xf>
    <xf numFmtId="0" fontId="1" fillId="0" borderId="1" xfId="0" applyFont="1" applyFill="1" applyBorder="1" applyAlignment="1" applyProtection="1">
      <alignment horizontal="center" wrapText="1" readingOrder="1"/>
      <protection locked="0"/>
    </xf>
    <xf numFmtId="0" fontId="2" fillId="0" borderId="0" xfId="0" applyFont="1" applyFill="1"/>
    <xf numFmtId="0" fontId="3" fillId="0" borderId="1" xfId="0" applyFont="1" applyFill="1" applyBorder="1" applyAlignment="1" applyProtection="1">
      <alignment horizontal="left" wrapText="1" readingOrder="1"/>
      <protection locked="0"/>
    </xf>
    <xf numFmtId="0" fontId="3" fillId="0" borderId="1" xfId="0" applyFont="1" applyFill="1" applyBorder="1" applyAlignment="1" applyProtection="1">
      <alignment horizontal="center" wrapText="1" readingOrder="1"/>
      <protection locked="0"/>
    </xf>
    <xf numFmtId="0" fontId="3" fillId="0" borderId="0" xfId="0" applyFont="1" applyFill="1" applyAlignment="1" applyProtection="1">
      <alignment horizontal="center" vertical="center" wrapText="1" readingOrder="1"/>
      <protection locked="0"/>
    </xf>
    <xf numFmtId="0" fontId="4" fillId="0" borderId="0" xfId="0" applyFont="1" applyFill="1" applyAlignment="1"/>
    <xf numFmtId="0" fontId="4" fillId="0" borderId="0" xfId="0" applyFont="1" applyFill="1"/>
    <xf numFmtId="4" fontId="4" fillId="0" borderId="0" xfId="0" applyNumberFormat="1" applyFont="1" applyFill="1"/>
    <xf numFmtId="0" fontId="2" fillId="0" borderId="0" xfId="0" applyFont="1" applyFill="1" applyAlignment="1"/>
    <xf numFmtId="164" fontId="4" fillId="0" borderId="4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 applyProtection="1">
      <alignment horizontal="right" wrapText="1" readingOrder="1"/>
      <protection locked="0"/>
    </xf>
    <xf numFmtId="166" fontId="1" fillId="0" borderId="1" xfId="0" applyNumberFormat="1" applyFont="1" applyFill="1" applyBorder="1" applyAlignment="1" applyProtection="1">
      <alignment horizontal="right" wrapText="1" readingOrder="1"/>
      <protection locked="0"/>
    </xf>
    <xf numFmtId="166" fontId="3" fillId="0" borderId="5" xfId="0" applyNumberFormat="1" applyFont="1" applyFill="1" applyBorder="1" applyAlignment="1" applyProtection="1">
      <alignment horizontal="right" wrapText="1" readingOrder="1"/>
      <protection locked="0"/>
    </xf>
    <xf numFmtId="166" fontId="1" fillId="0" borderId="5" xfId="0" applyNumberFormat="1" applyFont="1" applyFill="1" applyBorder="1" applyAlignment="1" applyProtection="1">
      <alignment horizontal="right" wrapText="1" readingOrder="1"/>
      <protection locked="0"/>
    </xf>
    <xf numFmtId="0" fontId="2" fillId="0" borderId="0" xfId="0" applyFont="1" applyFill="1" applyAlignment="1">
      <alignment horizontal="left"/>
    </xf>
    <xf numFmtId="165" fontId="1" fillId="0" borderId="2" xfId="0" applyNumberFormat="1" applyFont="1" applyFill="1" applyBorder="1" applyAlignment="1" applyProtection="1">
      <alignment horizontal="center" vertical="center" wrapText="1" readingOrder="1"/>
      <protection locked="0"/>
    </xf>
    <xf numFmtId="165" fontId="1" fillId="0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0" borderId="0" xfId="0" applyFont="1" applyFill="1" applyAlignment="1" applyProtection="1">
      <alignment horizontal="center" vertical="center" wrapText="1" readingOrder="1"/>
      <protection locked="0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9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EBCD"/>
      <rgbColor rgb="00FFFFFF"/>
      <rgbColor rgb="008B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7"/>
  <sheetViews>
    <sheetView showGridLines="0" tabSelected="1" topLeftCell="A19" zoomScale="60" zoomScaleNormal="60" workbookViewId="0">
      <selection activeCell="B28" sqref="B28"/>
    </sheetView>
  </sheetViews>
  <sheetFormatPr defaultRowHeight="15.75" x14ac:dyDescent="0.25"/>
  <cols>
    <col min="1" max="1" width="104.140625" style="3" customWidth="1"/>
    <col min="2" max="2" width="29.7109375" style="3" customWidth="1"/>
    <col min="3" max="3" width="19.42578125" style="3" customWidth="1"/>
    <col min="4" max="4" width="17.42578125" style="3" customWidth="1"/>
    <col min="5" max="5" width="17.140625" style="3" bestFit="1" customWidth="1"/>
    <col min="6" max="6" width="15.28515625" style="3" bestFit="1" customWidth="1"/>
    <col min="7" max="16384" width="9.140625" style="3"/>
  </cols>
  <sheetData>
    <row r="1" spans="1:6" ht="31.5" customHeight="1" x14ac:dyDescent="0.25">
      <c r="A1" s="20" t="s">
        <v>115</v>
      </c>
      <c r="B1" s="20"/>
      <c r="C1" s="20"/>
      <c r="D1" s="20"/>
      <c r="E1" s="20"/>
    </row>
    <row r="2" spans="1:6" ht="14.45" customHeight="1" x14ac:dyDescent="0.25">
      <c r="A2" s="6"/>
      <c r="E2" s="8" t="s">
        <v>117</v>
      </c>
    </row>
    <row r="3" spans="1:6" ht="47.25" customHeight="1" x14ac:dyDescent="0.25">
      <c r="A3" s="18" t="s">
        <v>5</v>
      </c>
      <c r="B3" s="18" t="s">
        <v>6</v>
      </c>
      <c r="C3" s="23" t="s">
        <v>118</v>
      </c>
      <c r="D3" s="25" t="s">
        <v>119</v>
      </c>
      <c r="E3" s="21" t="s">
        <v>114</v>
      </c>
    </row>
    <row r="4" spans="1:6" x14ac:dyDescent="0.25">
      <c r="A4" s="19"/>
      <c r="B4" s="19"/>
      <c r="C4" s="24"/>
      <c r="D4" s="26"/>
      <c r="E4" s="22"/>
    </row>
    <row r="5" spans="1:6" s="8" customFormat="1" ht="30.75" customHeight="1" x14ac:dyDescent="0.25">
      <c r="A5" s="4" t="s">
        <v>7</v>
      </c>
      <c r="B5" s="5" t="s">
        <v>8</v>
      </c>
      <c r="C5" s="13">
        <f>C6+C30+C58</f>
        <v>2197335.0666300002</v>
      </c>
      <c r="D5" s="13">
        <f>D6+D30+D58</f>
        <v>250842.41147999998</v>
      </c>
      <c r="E5" s="11">
        <f>D5/C5%</f>
        <v>11.415756080601351</v>
      </c>
      <c r="F5" s="7"/>
    </row>
    <row r="6" spans="1:6" s="8" customFormat="1" ht="33.75" customHeight="1" x14ac:dyDescent="0.25">
      <c r="A6" s="4" t="s">
        <v>126</v>
      </c>
      <c r="B6" s="5" t="s">
        <v>10</v>
      </c>
      <c r="C6" s="13">
        <f>SUM(C7:C29)</f>
        <v>847035.40702999989</v>
      </c>
      <c r="D6" s="15">
        <f>SUM(D7:D29)</f>
        <v>87881.528209999989</v>
      </c>
      <c r="E6" s="11">
        <f t="shared" ref="E6:E63" si="0">D6/C6%</f>
        <v>10.375189452604246</v>
      </c>
      <c r="F6" s="9"/>
    </row>
    <row r="7" spans="1:6" ht="22.5" customHeight="1" x14ac:dyDescent="0.25">
      <c r="A7" s="1" t="s">
        <v>11</v>
      </c>
      <c r="B7" s="2" t="s">
        <v>12</v>
      </c>
      <c r="C7" s="14">
        <f>547034000/1000</f>
        <v>547034</v>
      </c>
      <c r="D7" s="16">
        <f>64302592.31/1000</f>
        <v>64302.59231</v>
      </c>
      <c r="E7" s="12">
        <f t="shared" si="0"/>
        <v>11.75477069249809</v>
      </c>
      <c r="F7" s="10"/>
    </row>
    <row r="8" spans="1:6" ht="22.5" customHeight="1" x14ac:dyDescent="0.25">
      <c r="A8" s="1" t="s">
        <v>13</v>
      </c>
      <c r="B8" s="2" t="s">
        <v>14</v>
      </c>
      <c r="C8" s="14">
        <f>18247600/1000</f>
        <v>18247.599999999999</v>
      </c>
      <c r="D8" s="16">
        <f>1489720.65/1000</f>
        <v>1489.72065</v>
      </c>
      <c r="E8" s="12">
        <f t="shared" si="0"/>
        <v>8.1639264889629324</v>
      </c>
    </row>
    <row r="9" spans="1:6" ht="22.5" customHeight="1" x14ac:dyDescent="0.25">
      <c r="A9" s="1" t="s">
        <v>15</v>
      </c>
      <c r="B9" s="2" t="s">
        <v>16</v>
      </c>
      <c r="C9" s="14">
        <f>26891500/1000</f>
        <v>26891.5</v>
      </c>
      <c r="D9" s="16">
        <f>1937408.18/1000</f>
        <v>1937.4081799999999</v>
      </c>
      <c r="E9" s="12">
        <f t="shared" si="0"/>
        <v>7.2045374188870079</v>
      </c>
    </row>
    <row r="10" spans="1:6" ht="22.5" customHeight="1" x14ac:dyDescent="0.25">
      <c r="A10" s="1" t="s">
        <v>17</v>
      </c>
      <c r="B10" s="2" t="s">
        <v>18</v>
      </c>
      <c r="C10" s="14">
        <f>4490800/1000</f>
        <v>4490.8</v>
      </c>
      <c r="D10" s="16">
        <f>4390306.5/1000</f>
        <v>4390.3064999999997</v>
      </c>
      <c r="E10" s="12">
        <f t="shared" si="0"/>
        <v>97.762236127193361</v>
      </c>
    </row>
    <row r="11" spans="1:6" ht="22.5" customHeight="1" x14ac:dyDescent="0.25">
      <c r="A11" s="1" t="s">
        <v>19</v>
      </c>
      <c r="B11" s="2" t="s">
        <v>20</v>
      </c>
      <c r="C11" s="14">
        <f>8300/1000</f>
        <v>8.3000000000000007</v>
      </c>
      <c r="D11" s="16">
        <f>4476/1000</f>
        <v>4.476</v>
      </c>
      <c r="E11" s="12">
        <f t="shared" si="0"/>
        <v>53.92771084337349</v>
      </c>
    </row>
    <row r="12" spans="1:6" ht="22.5" customHeight="1" x14ac:dyDescent="0.25">
      <c r="A12" s="1" t="s">
        <v>21</v>
      </c>
      <c r="B12" s="2" t="s">
        <v>22</v>
      </c>
      <c r="C12" s="14">
        <f>7059100/1000</f>
        <v>7059.1</v>
      </c>
      <c r="D12" s="16">
        <f>254755.59/1000</f>
        <v>254.75558999999998</v>
      </c>
      <c r="E12" s="12">
        <f t="shared" si="0"/>
        <v>3.6088961765664171</v>
      </c>
    </row>
    <row r="13" spans="1:6" ht="22.5" customHeight="1" x14ac:dyDescent="0.25">
      <c r="A13" s="1" t="s">
        <v>23</v>
      </c>
      <c r="B13" s="2" t="s">
        <v>24</v>
      </c>
      <c r="C13" s="14">
        <f>40556700/1000</f>
        <v>40556.699999999997</v>
      </c>
      <c r="D13" s="16">
        <f>1093900.22/1000</f>
        <v>1093.90022</v>
      </c>
      <c r="E13" s="12">
        <f t="shared" si="0"/>
        <v>2.6972121005900385</v>
      </c>
    </row>
    <row r="14" spans="1:6" ht="22.5" customHeight="1" x14ac:dyDescent="0.25">
      <c r="A14" s="1" t="s">
        <v>25</v>
      </c>
      <c r="B14" s="2" t="s">
        <v>26</v>
      </c>
      <c r="C14" s="14">
        <f>53501400/1000</f>
        <v>53501.4</v>
      </c>
      <c r="D14" s="16">
        <f>6929187.99/1000</f>
        <v>6929.1879900000004</v>
      </c>
      <c r="E14" s="12">
        <f t="shared" si="0"/>
        <v>12.951414336821093</v>
      </c>
    </row>
    <row r="15" spans="1:6" ht="22.5" customHeight="1" x14ac:dyDescent="0.25">
      <c r="A15" s="1" t="s">
        <v>27</v>
      </c>
      <c r="B15" s="2" t="s">
        <v>28</v>
      </c>
      <c r="C15" s="14">
        <f>21657000/1000</f>
        <v>21657</v>
      </c>
      <c r="D15" s="16">
        <f>557753.34/1000</f>
        <v>557.75333999999998</v>
      </c>
      <c r="E15" s="12">
        <f t="shared" si="0"/>
        <v>2.5753952070923951</v>
      </c>
    </row>
    <row r="16" spans="1:6" ht="19.5" customHeight="1" x14ac:dyDescent="0.25">
      <c r="A16" s="1" t="s">
        <v>125</v>
      </c>
      <c r="B16" s="2" t="s">
        <v>29</v>
      </c>
      <c r="C16" s="14">
        <f>10444600/1000</f>
        <v>10444.6</v>
      </c>
      <c r="D16" s="16">
        <f>763559.88/1000</f>
        <v>763.55988000000002</v>
      </c>
      <c r="E16" s="12">
        <f t="shared" si="0"/>
        <v>7.3105708212856406</v>
      </c>
    </row>
    <row r="17" spans="1:5" ht="54" customHeight="1" x14ac:dyDescent="0.25">
      <c r="A17" s="1" t="s">
        <v>30</v>
      </c>
      <c r="B17" s="2" t="s">
        <v>31</v>
      </c>
      <c r="C17" s="14">
        <f>30072700/1000</f>
        <v>30072.7</v>
      </c>
      <c r="D17" s="16">
        <f>2517330.14/1000</f>
        <v>2517.33014</v>
      </c>
      <c r="E17" s="12">
        <f t="shared" si="0"/>
        <v>8.3708151911866899</v>
      </c>
    </row>
    <row r="18" spans="1:5" ht="64.5" customHeight="1" x14ac:dyDescent="0.25">
      <c r="A18" s="1" t="s">
        <v>0</v>
      </c>
      <c r="B18" s="2" t="s">
        <v>32</v>
      </c>
      <c r="C18" s="14">
        <f>612100/1000</f>
        <v>612.1</v>
      </c>
      <c r="D18" s="16">
        <f>3052.83/1000</f>
        <v>3.0528299999999997</v>
      </c>
      <c r="E18" s="12">
        <f t="shared" si="0"/>
        <v>0.49874693677503668</v>
      </c>
    </row>
    <row r="19" spans="1:5" ht="69.75" customHeight="1" x14ac:dyDescent="0.25">
      <c r="A19" s="1" t="s">
        <v>1</v>
      </c>
      <c r="B19" s="2" t="s">
        <v>33</v>
      </c>
      <c r="C19" s="14">
        <f>1800000/1000</f>
        <v>1800</v>
      </c>
      <c r="D19" s="16" t="s">
        <v>9</v>
      </c>
      <c r="E19" s="12">
        <v>0</v>
      </c>
    </row>
    <row r="20" spans="1:5" ht="42" customHeight="1" x14ac:dyDescent="0.25">
      <c r="A20" s="1" t="s">
        <v>34</v>
      </c>
      <c r="B20" s="2" t="s">
        <v>35</v>
      </c>
      <c r="C20" s="14">
        <f>7748600/1000</f>
        <v>7748.6</v>
      </c>
      <c r="D20" s="16">
        <f>24627.22/1000</f>
        <v>24.627220000000001</v>
      </c>
      <c r="E20" s="12">
        <f t="shared" si="0"/>
        <v>0.31782799473453271</v>
      </c>
    </row>
    <row r="21" spans="1:5" ht="43.5" customHeight="1" x14ac:dyDescent="0.25">
      <c r="A21" s="1" t="s">
        <v>36</v>
      </c>
      <c r="B21" s="2" t="s">
        <v>37</v>
      </c>
      <c r="C21" s="14" t="s">
        <v>9</v>
      </c>
      <c r="D21" s="16">
        <f>255.9/1000</f>
        <v>0.25590000000000002</v>
      </c>
      <c r="E21" s="12">
        <v>0</v>
      </c>
    </row>
    <row r="22" spans="1:5" ht="67.5" customHeight="1" x14ac:dyDescent="0.25">
      <c r="A22" s="1" t="s">
        <v>38</v>
      </c>
      <c r="B22" s="2" t="s">
        <v>39</v>
      </c>
      <c r="C22" s="14">
        <f>3706500/1000</f>
        <v>3706.5</v>
      </c>
      <c r="D22" s="16">
        <f>481416.89/1000</f>
        <v>481.41689000000002</v>
      </c>
      <c r="E22" s="12">
        <f t="shared" si="0"/>
        <v>12.98844975043842</v>
      </c>
    </row>
    <row r="23" spans="1:5" ht="28.5" customHeight="1" x14ac:dyDescent="0.25">
      <c r="A23" s="1" t="s">
        <v>122</v>
      </c>
      <c r="B23" s="2" t="s">
        <v>40</v>
      </c>
      <c r="C23" s="14">
        <f>27243100/1000</f>
        <v>27243.1</v>
      </c>
      <c r="D23" s="16">
        <f>732486.66/1000</f>
        <v>732.48666000000003</v>
      </c>
      <c r="E23" s="12">
        <f t="shared" si="0"/>
        <v>2.6887052501367323</v>
      </c>
    </row>
    <row r="24" spans="1:5" ht="25.5" customHeight="1" x14ac:dyDescent="0.25">
      <c r="A24" s="1" t="s">
        <v>41</v>
      </c>
      <c r="B24" s="2" t="s">
        <v>42</v>
      </c>
      <c r="C24" s="14">
        <f>1410907.03/1000</f>
        <v>1410.9070300000001</v>
      </c>
      <c r="D24" s="16">
        <f>152978.15/1000</f>
        <v>152.97815</v>
      </c>
      <c r="E24" s="12">
        <f t="shared" si="0"/>
        <v>10.842539355693761</v>
      </c>
    </row>
    <row r="25" spans="1:5" ht="54.75" customHeight="1" x14ac:dyDescent="0.25">
      <c r="A25" s="1" t="s">
        <v>43</v>
      </c>
      <c r="B25" s="2" t="s">
        <v>44</v>
      </c>
      <c r="C25" s="14">
        <f>29218000/1000</f>
        <v>29218</v>
      </c>
      <c r="D25" s="16">
        <f>1508000/1000</f>
        <v>1508</v>
      </c>
      <c r="E25" s="12">
        <f t="shared" si="0"/>
        <v>5.1612019987678828</v>
      </c>
    </row>
    <row r="26" spans="1:5" ht="72.75" customHeight="1" x14ac:dyDescent="0.25">
      <c r="A26" s="1" t="s">
        <v>2</v>
      </c>
      <c r="B26" s="2" t="s">
        <v>45</v>
      </c>
      <c r="C26" s="14">
        <f>1704300/1000</f>
        <v>1704.3</v>
      </c>
      <c r="D26" s="16">
        <f>72503.7/1000</f>
        <v>72.503699999999995</v>
      </c>
      <c r="E26" s="12">
        <f t="shared" si="0"/>
        <v>4.2541629994719239</v>
      </c>
    </row>
    <row r="27" spans="1:5" ht="42.75" customHeight="1" x14ac:dyDescent="0.25">
      <c r="A27" s="1" t="s">
        <v>46</v>
      </c>
      <c r="B27" s="2" t="s">
        <v>47</v>
      </c>
      <c r="C27" s="14">
        <f>8532500/1000</f>
        <v>8532.5</v>
      </c>
      <c r="D27" s="16">
        <f>21389.58/1000</f>
        <v>21.389580000000002</v>
      </c>
      <c r="E27" s="12">
        <f t="shared" si="0"/>
        <v>0.25068362144740697</v>
      </c>
    </row>
    <row r="28" spans="1:5" ht="26.25" customHeight="1" x14ac:dyDescent="0.25">
      <c r="A28" s="1" t="s">
        <v>123</v>
      </c>
      <c r="B28" s="2" t="s">
        <v>48</v>
      </c>
      <c r="C28" s="14">
        <f>5095700/1000</f>
        <v>5095.7</v>
      </c>
      <c r="D28" s="16">
        <f>568820.43/1000</f>
        <v>568.8204300000001</v>
      </c>
      <c r="E28" s="12">
        <f t="shared" si="0"/>
        <v>11.162753498047374</v>
      </c>
    </row>
    <row r="29" spans="1:5" ht="26.25" customHeight="1" x14ac:dyDescent="0.25">
      <c r="A29" s="1" t="s">
        <v>124</v>
      </c>
      <c r="B29" s="2" t="s">
        <v>49</v>
      </c>
      <c r="C29" s="14" t="s">
        <v>9</v>
      </c>
      <c r="D29" s="16">
        <f>75006.05/1000</f>
        <v>75.006050000000002</v>
      </c>
      <c r="E29" s="12">
        <v>0</v>
      </c>
    </row>
    <row r="30" spans="1:5" ht="19.5" customHeight="1" x14ac:dyDescent="0.25">
      <c r="A30" s="4" t="s">
        <v>50</v>
      </c>
      <c r="B30" s="5" t="s">
        <v>51</v>
      </c>
      <c r="C30" s="13">
        <f>C31+C60</f>
        <v>1350299.6596000001</v>
      </c>
      <c r="D30" s="13">
        <f>D31+D60</f>
        <v>162960.65127</v>
      </c>
      <c r="E30" s="11">
        <f t="shared" si="0"/>
        <v>12.068480511820162</v>
      </c>
    </row>
    <row r="31" spans="1:5" s="8" customFormat="1" ht="47.25" customHeight="1" x14ac:dyDescent="0.25">
      <c r="A31" s="4" t="s">
        <v>52</v>
      </c>
      <c r="B31" s="5" t="s">
        <v>53</v>
      </c>
      <c r="C31" s="13">
        <f>C32+C34+C45+C56</f>
        <v>1355861.1375200001</v>
      </c>
      <c r="D31" s="13">
        <f>D32+D34+D45+D56</f>
        <v>167743.32216000001</v>
      </c>
      <c r="E31" s="11">
        <f t="shared" si="0"/>
        <v>12.371718424411707</v>
      </c>
    </row>
    <row r="32" spans="1:5" s="8" customFormat="1" ht="47.25" customHeight="1" x14ac:dyDescent="0.25">
      <c r="A32" s="4" t="s">
        <v>54</v>
      </c>
      <c r="B32" s="5" t="s">
        <v>55</v>
      </c>
      <c r="C32" s="13">
        <f>C33</f>
        <v>226425.60000000001</v>
      </c>
      <c r="D32" s="15">
        <f>D33</f>
        <v>35850.800000000003</v>
      </c>
      <c r="E32" s="11">
        <f t="shared" si="0"/>
        <v>15.833368665027278</v>
      </c>
    </row>
    <row r="33" spans="1:5" ht="47.25" customHeight="1" x14ac:dyDescent="0.25">
      <c r="A33" s="1" t="s">
        <v>56</v>
      </c>
      <c r="B33" s="2" t="s">
        <v>57</v>
      </c>
      <c r="C33" s="14">
        <f>226425600/1000</f>
        <v>226425.60000000001</v>
      </c>
      <c r="D33" s="16">
        <f>35850800/1000</f>
        <v>35850.800000000003</v>
      </c>
      <c r="E33" s="12">
        <f t="shared" si="0"/>
        <v>15.833368665027278</v>
      </c>
    </row>
    <row r="34" spans="1:5" s="8" customFormat="1" ht="47.25" customHeight="1" x14ac:dyDescent="0.25">
      <c r="A34" s="4" t="s">
        <v>58</v>
      </c>
      <c r="B34" s="5" t="s">
        <v>59</v>
      </c>
      <c r="C34" s="13">
        <f>SUM(C35:C44)</f>
        <v>340294.03591999999</v>
      </c>
      <c r="D34" s="13">
        <f>SUM(D35:D44)</f>
        <v>9489.8892500000002</v>
      </c>
      <c r="E34" s="11">
        <f t="shared" si="0"/>
        <v>2.7887321693263489</v>
      </c>
    </row>
    <row r="35" spans="1:5" ht="47.25" customHeight="1" x14ac:dyDescent="0.25">
      <c r="A35" s="1" t="s">
        <v>60</v>
      </c>
      <c r="B35" s="2" t="s">
        <v>61</v>
      </c>
      <c r="C35" s="14">
        <f>123433400/1000</f>
        <v>123433.4</v>
      </c>
      <c r="D35" s="16">
        <f>547290.58/1000</f>
        <v>547.29057999999998</v>
      </c>
      <c r="E35" s="12">
        <f t="shared" si="0"/>
        <v>0.44338937435086456</v>
      </c>
    </row>
    <row r="36" spans="1:5" ht="69" customHeight="1" x14ac:dyDescent="0.25">
      <c r="A36" s="1" t="s">
        <v>3</v>
      </c>
      <c r="B36" s="2" t="s">
        <v>62</v>
      </c>
      <c r="C36" s="14">
        <f>42418000/1000</f>
        <v>42418</v>
      </c>
      <c r="D36" s="16" t="s">
        <v>9</v>
      </c>
      <c r="E36" s="12">
        <v>0</v>
      </c>
    </row>
    <row r="37" spans="1:5" ht="90" customHeight="1" x14ac:dyDescent="0.25">
      <c r="A37" s="1" t="s">
        <v>4</v>
      </c>
      <c r="B37" s="2" t="s">
        <v>63</v>
      </c>
      <c r="C37" s="14">
        <f>16060509.27/1000</f>
        <v>16060.509269999999</v>
      </c>
      <c r="D37" s="16" t="s">
        <v>9</v>
      </c>
      <c r="E37" s="12">
        <v>0</v>
      </c>
    </row>
    <row r="38" spans="1:5" ht="57.75" customHeight="1" x14ac:dyDescent="0.25">
      <c r="A38" s="1" t="s">
        <v>64</v>
      </c>
      <c r="B38" s="2" t="s">
        <v>65</v>
      </c>
      <c r="C38" s="14">
        <f>34448654.82/1000</f>
        <v>34448.654820000003</v>
      </c>
      <c r="D38" s="16" t="s">
        <v>9</v>
      </c>
      <c r="E38" s="12">
        <v>0</v>
      </c>
    </row>
    <row r="39" spans="1:5" ht="61.5" customHeight="1" x14ac:dyDescent="0.25">
      <c r="A39" s="1" t="s">
        <v>66</v>
      </c>
      <c r="B39" s="2" t="s">
        <v>67</v>
      </c>
      <c r="C39" s="14">
        <f>35240871.15/1000</f>
        <v>35240.871149999999</v>
      </c>
      <c r="D39" s="16" t="s">
        <v>9</v>
      </c>
      <c r="E39" s="12">
        <v>0</v>
      </c>
    </row>
    <row r="40" spans="1:5" ht="47.25" customHeight="1" x14ac:dyDescent="0.25">
      <c r="A40" s="1" t="s">
        <v>68</v>
      </c>
      <c r="B40" s="2" t="s">
        <v>69</v>
      </c>
      <c r="C40" s="14">
        <f>460966.89/1000</f>
        <v>460.96689000000003</v>
      </c>
      <c r="D40" s="16" t="s">
        <v>9</v>
      </c>
      <c r="E40" s="12">
        <v>0</v>
      </c>
    </row>
    <row r="41" spans="1:5" ht="47.25" customHeight="1" x14ac:dyDescent="0.25">
      <c r="A41" s="1" t="s">
        <v>70</v>
      </c>
      <c r="B41" s="2" t="s">
        <v>71</v>
      </c>
      <c r="C41" s="14">
        <f>1882000/1000</f>
        <v>1882</v>
      </c>
      <c r="D41" s="16" t="s">
        <v>9</v>
      </c>
      <c r="E41" s="12">
        <v>0</v>
      </c>
    </row>
    <row r="42" spans="1:5" ht="47.25" customHeight="1" x14ac:dyDescent="0.25">
      <c r="A42" s="1" t="s">
        <v>72</v>
      </c>
      <c r="B42" s="2" t="s">
        <v>73</v>
      </c>
      <c r="C42" s="14">
        <f>2478600/1000</f>
        <v>2478.6</v>
      </c>
      <c r="D42" s="16" t="s">
        <v>9</v>
      </c>
      <c r="E42" s="12">
        <v>0</v>
      </c>
    </row>
    <row r="43" spans="1:5" ht="47.25" customHeight="1" x14ac:dyDescent="0.25">
      <c r="A43" s="1" t="s">
        <v>74</v>
      </c>
      <c r="B43" s="2" t="s">
        <v>75</v>
      </c>
      <c r="C43" s="14">
        <f>22340733.79/1000</f>
        <v>22340.733789999998</v>
      </c>
      <c r="D43" s="16" t="s">
        <v>9</v>
      </c>
      <c r="E43" s="12">
        <v>0</v>
      </c>
    </row>
    <row r="44" spans="1:5" ht="47.25" customHeight="1" x14ac:dyDescent="0.25">
      <c r="A44" s="1" t="s">
        <v>76</v>
      </c>
      <c r="B44" s="2" t="s">
        <v>77</v>
      </c>
      <c r="C44" s="14">
        <f>61530300/1000</f>
        <v>61530.3</v>
      </c>
      <c r="D44" s="16">
        <f>8942598.67/1000</f>
        <v>8942.5986699999994</v>
      </c>
      <c r="E44" s="12">
        <f t="shared" si="0"/>
        <v>14.533650364129542</v>
      </c>
    </row>
    <row r="45" spans="1:5" s="8" customFormat="1" ht="47.25" customHeight="1" x14ac:dyDescent="0.25">
      <c r="A45" s="4" t="s">
        <v>78</v>
      </c>
      <c r="B45" s="5" t="s">
        <v>79</v>
      </c>
      <c r="C45" s="13">
        <f>SUM(C46:C55)</f>
        <v>777276.3</v>
      </c>
      <c r="D45" s="13">
        <f>SUM(D46:D55)</f>
        <v>121891.76591000002</v>
      </c>
      <c r="E45" s="11">
        <f t="shared" si="0"/>
        <v>15.681909497304884</v>
      </c>
    </row>
    <row r="46" spans="1:5" ht="47.25" customHeight="1" x14ac:dyDescent="0.25">
      <c r="A46" s="1" t="s">
        <v>80</v>
      </c>
      <c r="B46" s="2" t="s">
        <v>81</v>
      </c>
      <c r="C46" s="14">
        <f>692218400/1000</f>
        <v>692218.4</v>
      </c>
      <c r="D46" s="16">
        <f>110635320/1000</f>
        <v>110635.32</v>
      </c>
      <c r="E46" s="12">
        <f t="shared" si="0"/>
        <v>15.982718748880412</v>
      </c>
    </row>
    <row r="47" spans="1:5" ht="62.25" customHeight="1" x14ac:dyDescent="0.25">
      <c r="A47" s="1" t="s">
        <v>82</v>
      </c>
      <c r="B47" s="2" t="s">
        <v>83</v>
      </c>
      <c r="C47" s="14">
        <f>18631900/1000</f>
        <v>18631.900000000001</v>
      </c>
      <c r="D47" s="16">
        <f>3128257/1000</f>
        <v>3128.2570000000001</v>
      </c>
      <c r="E47" s="12">
        <f t="shared" si="0"/>
        <v>16.78979062790161</v>
      </c>
    </row>
    <row r="48" spans="1:5" ht="47.25" customHeight="1" x14ac:dyDescent="0.25">
      <c r="A48" s="1" t="s">
        <v>84</v>
      </c>
      <c r="B48" s="2" t="s">
        <v>85</v>
      </c>
      <c r="C48" s="14">
        <f>22660800/1000</f>
        <v>22660.799999999999</v>
      </c>
      <c r="D48" s="16" t="s">
        <v>9</v>
      </c>
      <c r="E48" s="12">
        <v>0</v>
      </c>
    </row>
    <row r="49" spans="1:5" ht="48" customHeight="1" x14ac:dyDescent="0.25">
      <c r="A49" s="1" t="s">
        <v>86</v>
      </c>
      <c r="B49" s="2" t="s">
        <v>87</v>
      </c>
      <c r="C49" s="14">
        <f>1173400/1000</f>
        <v>1173.4000000000001</v>
      </c>
      <c r="D49" s="16">
        <f>109966.1/1000</f>
        <v>109.96610000000001</v>
      </c>
      <c r="E49" s="12">
        <f t="shared" si="0"/>
        <v>9.3715783194136684</v>
      </c>
    </row>
    <row r="50" spans="1:5" ht="47.25" customHeight="1" x14ac:dyDescent="0.25">
      <c r="A50" s="1" t="s">
        <v>88</v>
      </c>
      <c r="B50" s="2" t="s">
        <v>89</v>
      </c>
      <c r="C50" s="14">
        <f>37600/1000</f>
        <v>37.6</v>
      </c>
      <c r="D50" s="16" t="s">
        <v>9</v>
      </c>
      <c r="E50" s="12">
        <v>0</v>
      </c>
    </row>
    <row r="51" spans="1:5" ht="52.5" customHeight="1" x14ac:dyDescent="0.25">
      <c r="A51" s="1" t="s">
        <v>116</v>
      </c>
      <c r="B51" s="2" t="s">
        <v>90</v>
      </c>
      <c r="C51" s="14">
        <f>968200/1000</f>
        <v>968.2</v>
      </c>
      <c r="D51" s="16" t="s">
        <v>9</v>
      </c>
      <c r="E51" s="12">
        <v>0</v>
      </c>
    </row>
    <row r="52" spans="1:5" ht="47.25" customHeight="1" x14ac:dyDescent="0.25">
      <c r="A52" s="1" t="s">
        <v>91</v>
      </c>
      <c r="B52" s="2" t="s">
        <v>92</v>
      </c>
      <c r="C52" s="14">
        <f>968200/1000</f>
        <v>968.2</v>
      </c>
      <c r="D52" s="16" t="s">
        <v>9</v>
      </c>
      <c r="E52" s="12">
        <v>0</v>
      </c>
    </row>
    <row r="53" spans="1:5" ht="47.25" customHeight="1" x14ac:dyDescent="0.25">
      <c r="A53" s="1" t="s">
        <v>93</v>
      </c>
      <c r="B53" s="2" t="s">
        <v>94</v>
      </c>
      <c r="C53" s="14">
        <f>28198600/1000</f>
        <v>28198.6</v>
      </c>
      <c r="D53" s="16">
        <f>7049683/1000</f>
        <v>7049.683</v>
      </c>
      <c r="E53" s="12">
        <f t="shared" si="0"/>
        <v>25.000117027086453</v>
      </c>
    </row>
    <row r="54" spans="1:5" ht="40.5" customHeight="1" x14ac:dyDescent="0.25">
      <c r="A54" s="1" t="s">
        <v>95</v>
      </c>
      <c r="B54" s="2" t="s">
        <v>96</v>
      </c>
      <c r="C54" s="14">
        <f>5099300/1000</f>
        <v>5099.3</v>
      </c>
      <c r="D54" s="16" t="s">
        <v>9</v>
      </c>
      <c r="E54" s="12">
        <v>0</v>
      </c>
    </row>
    <row r="55" spans="1:5" ht="47.25" customHeight="1" x14ac:dyDescent="0.25">
      <c r="A55" s="1" t="s">
        <v>97</v>
      </c>
      <c r="B55" s="2" t="s">
        <v>98</v>
      </c>
      <c r="C55" s="14">
        <f>7319900/1000</f>
        <v>7319.9</v>
      </c>
      <c r="D55" s="16">
        <f>968539.81/1000</f>
        <v>968.5398100000001</v>
      </c>
      <c r="E55" s="12">
        <f t="shared" si="0"/>
        <v>13.231598928947118</v>
      </c>
    </row>
    <row r="56" spans="1:5" ht="31.5" customHeight="1" x14ac:dyDescent="0.25">
      <c r="A56" s="4" t="s">
        <v>127</v>
      </c>
      <c r="B56" s="5" t="s">
        <v>99</v>
      </c>
      <c r="C56" s="13">
        <f>C57</f>
        <v>11865.2016</v>
      </c>
      <c r="D56" s="13">
        <f>D57</f>
        <v>510.86700000000002</v>
      </c>
      <c r="E56" s="11">
        <f t="shared" si="0"/>
        <v>4.3055905598772126</v>
      </c>
    </row>
    <row r="57" spans="1:5" ht="47.25" customHeight="1" x14ac:dyDescent="0.25">
      <c r="A57" s="1" t="s">
        <v>100</v>
      </c>
      <c r="B57" s="2" t="s">
        <v>101</v>
      </c>
      <c r="C57" s="14">
        <f>11865201.6/1000</f>
        <v>11865.2016</v>
      </c>
      <c r="D57" s="16">
        <f>510867/1000</f>
        <v>510.86700000000002</v>
      </c>
      <c r="E57" s="12">
        <f t="shared" si="0"/>
        <v>4.3055905598772126</v>
      </c>
    </row>
    <row r="58" spans="1:5" s="8" customFormat="1" ht="34.5" customHeight="1" x14ac:dyDescent="0.25">
      <c r="A58" s="4" t="s">
        <v>102</v>
      </c>
      <c r="B58" s="5" t="s">
        <v>103</v>
      </c>
      <c r="C58" s="13">
        <f>C59</f>
        <v>0</v>
      </c>
      <c r="D58" s="13">
        <f>D59</f>
        <v>0.23200000000000001</v>
      </c>
      <c r="E58" s="11">
        <v>0</v>
      </c>
    </row>
    <row r="59" spans="1:5" ht="34.5" customHeight="1" x14ac:dyDescent="0.25">
      <c r="A59" s="1" t="s">
        <v>104</v>
      </c>
      <c r="B59" s="2" t="s">
        <v>105</v>
      </c>
      <c r="C59" s="14">
        <v>0</v>
      </c>
      <c r="D59" s="16">
        <f>232/1000</f>
        <v>0.23200000000000001</v>
      </c>
      <c r="E59" s="12">
        <v>0</v>
      </c>
    </row>
    <row r="60" spans="1:5" s="8" customFormat="1" ht="34.5" customHeight="1" x14ac:dyDescent="0.25">
      <c r="A60" s="4" t="s">
        <v>106</v>
      </c>
      <c r="B60" s="5" t="s">
        <v>107</v>
      </c>
      <c r="C60" s="13">
        <f>C61+C62+C63</f>
        <v>-5561.4779200000003</v>
      </c>
      <c r="D60" s="13">
        <f>D61+D62+D63</f>
        <v>-4782.6708900000003</v>
      </c>
      <c r="E60" s="11">
        <f t="shared" si="0"/>
        <v>85.996401654328608</v>
      </c>
    </row>
    <row r="61" spans="1:5" ht="42" customHeight="1" x14ac:dyDescent="0.25">
      <c r="A61" s="1" t="s">
        <v>108</v>
      </c>
      <c r="B61" s="2" t="s">
        <v>109</v>
      </c>
      <c r="C61" s="14">
        <f>-0.01/1000</f>
        <v>-1.0000000000000001E-5</v>
      </c>
      <c r="D61" s="16">
        <v>0</v>
      </c>
      <c r="E61" s="12">
        <f t="shared" si="0"/>
        <v>0</v>
      </c>
    </row>
    <row r="62" spans="1:5" ht="57.75" customHeight="1" x14ac:dyDescent="0.25">
      <c r="A62" s="1" t="s">
        <v>110</v>
      </c>
      <c r="B62" s="2" t="s">
        <v>111</v>
      </c>
      <c r="C62" s="14">
        <f>-2844474.53/1000</f>
        <v>-2844.47453</v>
      </c>
      <c r="D62" s="16">
        <f>-2844474.33/1000</f>
        <v>-2844.47433</v>
      </c>
      <c r="E62" s="12">
        <f t="shared" si="0"/>
        <v>99.999992968824358</v>
      </c>
    </row>
    <row r="63" spans="1:5" ht="46.5" customHeight="1" x14ac:dyDescent="0.25">
      <c r="A63" s="1" t="s">
        <v>112</v>
      </c>
      <c r="B63" s="2" t="s">
        <v>113</v>
      </c>
      <c r="C63" s="14">
        <f>-2717003.38/1000</f>
        <v>-2717.0033800000001</v>
      </c>
      <c r="D63" s="16">
        <f>-1938196.56/1000</f>
        <v>-1938.1965600000001</v>
      </c>
      <c r="E63" s="12">
        <f t="shared" si="0"/>
        <v>71.335817035310427</v>
      </c>
    </row>
    <row r="67" spans="1:2" x14ac:dyDescent="0.25">
      <c r="A67" s="17" t="s">
        <v>120</v>
      </c>
      <c r="B67" s="3" t="s">
        <v>121</v>
      </c>
    </row>
  </sheetData>
  <autoFilter ref="A4:F63" xr:uid="{00000000-0009-0000-0000-000000000000}"/>
  <mergeCells count="6">
    <mergeCell ref="A3:A4"/>
    <mergeCell ref="A1:E1"/>
    <mergeCell ref="B3:B4"/>
    <mergeCell ref="E3:E4"/>
    <mergeCell ref="C3:C4"/>
    <mergeCell ref="D3:D4"/>
  </mergeCells>
  <phoneticPr fontId="0" type="noConversion"/>
  <pageMargins left="0.19685039370078741" right="0.19685039370078741" top="0.19685039370078741" bottom="0.47244094488188981" header="0.19685039370078741" footer="0.19685039370078741"/>
  <pageSetup paperSize="8" fitToHeight="0" orientation="portrait" r:id="rId1"/>
  <headerFooter alignWithMargins="0">
    <oddFooter>&amp;L&amp;"Arial"&amp;8 - 1 - 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2021-03-12T10:43:10Z</dcterms:created>
  <dcterms:modified xsi:type="dcterms:W3CDTF">2021-04-22T09:00:39Z</dcterms:modified>
</cp:coreProperties>
</file>